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0" yWindow="0" windowWidth="270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P31" i="1"/>
  <c r="P32" i="1"/>
  <c r="P33" i="1"/>
  <c r="P34" i="1"/>
  <c r="O32" i="1"/>
  <c r="O23" i="1"/>
  <c r="O34" i="1"/>
  <c r="O33" i="1"/>
  <c r="O31" i="1"/>
  <c r="O24" i="1"/>
  <c r="O30" i="1"/>
  <c r="O26" i="1"/>
  <c r="P23" i="1"/>
  <c r="P24" i="1"/>
  <c r="P25" i="1"/>
  <c r="P26" i="1"/>
  <c r="P27" i="1"/>
  <c r="O28" i="1"/>
  <c r="P28" i="1"/>
  <c r="P29" i="1"/>
  <c r="P30" i="1"/>
  <c r="O29" i="1"/>
  <c r="O27" i="1"/>
  <c r="O25" i="1"/>
  <c r="P22" i="1"/>
  <c r="K33" i="1"/>
  <c r="P21" i="1"/>
  <c r="M32" i="1"/>
  <c r="L32" i="1"/>
  <c r="M31" i="1"/>
  <c r="L31" i="1"/>
  <c r="O22" i="1"/>
  <c r="O21" i="1"/>
  <c r="O3" i="1"/>
  <c r="O5" i="1"/>
  <c r="O4" i="1"/>
  <c r="N14" i="1"/>
  <c r="N7" i="1"/>
  <c r="N5" i="1"/>
  <c r="N3" i="1"/>
  <c r="P5" i="1"/>
  <c r="N4" i="1"/>
  <c r="P4" i="1"/>
  <c r="P3" i="1"/>
  <c r="E10" i="1"/>
  <c r="G10" i="1"/>
  <c r="I10" i="1"/>
  <c r="F10" i="1"/>
  <c r="E9" i="1"/>
  <c r="G9" i="1"/>
  <c r="I9" i="1"/>
  <c r="E8" i="1"/>
  <c r="G8" i="1"/>
  <c r="I8" i="1"/>
  <c r="C22" i="1"/>
  <c r="G22" i="1"/>
  <c r="I22" i="1"/>
  <c r="K23" i="1"/>
  <c r="C21" i="1"/>
  <c r="G21" i="1"/>
  <c r="I21" i="1"/>
  <c r="K22" i="1"/>
  <c r="C20" i="1"/>
  <c r="G20" i="1"/>
  <c r="I20" i="1"/>
  <c r="K21" i="1"/>
  <c r="C19" i="1"/>
  <c r="G19" i="1"/>
  <c r="I19" i="1"/>
  <c r="K20" i="1"/>
  <c r="C18" i="1"/>
  <c r="G18" i="1"/>
  <c r="I18" i="1"/>
  <c r="K19" i="1"/>
  <c r="K18" i="1"/>
  <c r="K17" i="1"/>
  <c r="C16" i="1"/>
  <c r="G16" i="1"/>
  <c r="I16" i="1"/>
  <c r="C23" i="1"/>
  <c r="G23" i="1"/>
  <c r="I23" i="1"/>
  <c r="I17" i="1"/>
  <c r="G17" i="1"/>
  <c r="C17" i="1"/>
  <c r="G15" i="1"/>
  <c r="E7" i="1"/>
  <c r="G7" i="1"/>
  <c r="I7" i="1"/>
  <c r="F9" i="1"/>
  <c r="F8" i="1"/>
  <c r="C6" i="1"/>
  <c r="F7" i="1"/>
  <c r="E6" i="1"/>
  <c r="F6" i="1"/>
</calcChain>
</file>

<file path=xl/sharedStrings.xml><?xml version="1.0" encoding="utf-8"?>
<sst xmlns="http://schemas.openxmlformats.org/spreadsheetml/2006/main" count="47" uniqueCount="32">
  <si>
    <t>Wave Guid Cut off Frequency</t>
  </si>
  <si>
    <t>Retangular Waveguide</t>
  </si>
  <si>
    <t>Round Pipe</t>
  </si>
  <si>
    <t>a</t>
  </si>
  <si>
    <t>b</t>
  </si>
  <si>
    <t>Fc</t>
  </si>
  <si>
    <t>(m)</t>
  </si>
  <si>
    <t>(in)</t>
  </si>
  <si>
    <t>c=</t>
  </si>
  <si>
    <t>Radius</t>
  </si>
  <si>
    <t>(cm)</t>
  </si>
  <si>
    <t>P'11=</t>
  </si>
  <si>
    <t>Example from Pozar Pg 127</t>
  </si>
  <si>
    <t>in</t>
  </si>
  <si>
    <t>10.368GHz</t>
  </si>
  <si>
    <t>1/2 Lamda</t>
  </si>
  <si>
    <t>1/4 Lamda</t>
  </si>
  <si>
    <t>Free Space</t>
  </si>
  <si>
    <t>Waveguide</t>
  </si>
  <si>
    <t>Fliter Sections</t>
  </si>
  <si>
    <t>x</t>
  </si>
  <si>
    <t>y</t>
  </si>
  <si>
    <t>d2</t>
  </si>
  <si>
    <t>d1</t>
  </si>
  <si>
    <t>Inches</t>
  </si>
  <si>
    <t>Sheet</t>
  </si>
  <si>
    <t>TE10 Mode</t>
  </si>
  <si>
    <t>TE11 Mode</t>
  </si>
  <si>
    <t>Example from Pozar Pg 113</t>
  </si>
  <si>
    <t>Wavelength in Free Space and in Waveguide with air:</t>
  </si>
  <si>
    <t>Calculations to make a pass band filter with waveguide:</t>
  </si>
  <si>
    <t>&lt;--Standard Size Brass Retangular Tubing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</si>
</sst>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_-* #,##0.0000_-;\-* #,##0.0000_-;_-* &quot;-&quot;??_-;_-@_-"/>
    <numFmt numFmtId="166" formatCode="_-* #,##0.00000_-;\-* #,##0.000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0" fontId="2" fillId="0" borderId="0" xfId="0" applyFont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</cellXfs>
  <cellStyles count="9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K11" sqref="K11"/>
    </sheetView>
  </sheetViews>
  <sheetFormatPr baseColWidth="10" defaultRowHeight="15" x14ac:dyDescent="0"/>
  <cols>
    <col min="5" max="5" width="17.6640625" bestFit="1" customWidth="1"/>
    <col min="7" max="7" width="15.1640625" bestFit="1" customWidth="1"/>
    <col min="9" max="9" width="12.83203125" bestFit="1" customWidth="1"/>
    <col min="14" max="14" width="17.6640625" bestFit="1" customWidth="1"/>
    <col min="15" max="15" width="17.6640625" customWidth="1"/>
  </cols>
  <sheetData>
    <row r="1" spans="1:16">
      <c r="A1" t="s">
        <v>0</v>
      </c>
      <c r="G1" t="s">
        <v>8</v>
      </c>
      <c r="M1" s="8" t="s">
        <v>29</v>
      </c>
    </row>
    <row r="2" spans="1:16">
      <c r="G2" s="1">
        <v>299792458</v>
      </c>
      <c r="H2" s="1"/>
      <c r="N2" t="s">
        <v>17</v>
      </c>
      <c r="O2" t="s">
        <v>18</v>
      </c>
    </row>
    <row r="3" spans="1:16">
      <c r="A3" t="s">
        <v>1</v>
      </c>
      <c r="C3" t="s">
        <v>26</v>
      </c>
      <c r="G3" s="1"/>
      <c r="H3" s="1"/>
      <c r="M3" t="s">
        <v>14</v>
      </c>
      <c r="N3" s="7">
        <f>G2/10368000000</f>
        <v>2.8915167631172838E-2</v>
      </c>
      <c r="O3" s="7">
        <f>N3/((1 - (N3/(2*0.022))^2  )^0.5)</f>
        <v>3.8361820368705245E-2</v>
      </c>
      <c r="P3" s="2">
        <f>N3*0.03937*1000</f>
        <v>1.1383901496392748</v>
      </c>
    </row>
    <row r="4" spans="1:16">
      <c r="C4" t="s">
        <v>7</v>
      </c>
      <c r="D4" t="s">
        <v>7</v>
      </c>
      <c r="E4" t="s">
        <v>6</v>
      </c>
      <c r="F4" t="s">
        <v>6</v>
      </c>
      <c r="M4" t="s">
        <v>15</v>
      </c>
      <c r="N4" s="6">
        <f>N3/2</f>
        <v>1.4457583815586419E-2</v>
      </c>
      <c r="O4" s="6">
        <f>O3/2</f>
        <v>1.9180910184352622E-2</v>
      </c>
      <c r="P4" s="2">
        <f>N4*0.03937*1000</f>
        <v>0.56919507481963738</v>
      </c>
    </row>
    <row r="5" spans="1:16">
      <c r="C5" t="s">
        <v>3</v>
      </c>
      <c r="D5" t="s">
        <v>4</v>
      </c>
      <c r="E5" t="s">
        <v>3</v>
      </c>
      <c r="F5" t="s">
        <v>4</v>
      </c>
      <c r="G5" t="s">
        <v>5</v>
      </c>
      <c r="M5" t="s">
        <v>16</v>
      </c>
      <c r="N5" s="6">
        <f>N3/4</f>
        <v>7.2287919077932096E-3</v>
      </c>
      <c r="O5" s="6">
        <f>O3/4</f>
        <v>9.5904550921763112E-3</v>
      </c>
      <c r="P5" s="2">
        <f>N5*0.03937*1000</f>
        <v>0.28459753740981869</v>
      </c>
    </row>
    <row r="6" spans="1:16">
      <c r="C6">
        <f>1.07*0.03937*10</f>
        <v>0.42125900000000005</v>
      </c>
      <c r="D6">
        <v>0.4</v>
      </c>
      <c r="E6" s="3">
        <f t="shared" ref="E6:F10" si="0">C6/0.03937/1000</f>
        <v>1.0700000000000001E-2</v>
      </c>
      <c r="F6" s="3">
        <f t="shared" si="0"/>
        <v>1.016002032004064E-2</v>
      </c>
      <c r="G6" s="4">
        <f>G2/(2*(E6)*(2.08^0.5))/1000000000</f>
        <v>9.7134892102478805</v>
      </c>
      <c r="I6" t="s">
        <v>28</v>
      </c>
    </row>
    <row r="7" spans="1:16">
      <c r="C7">
        <v>0.9</v>
      </c>
      <c r="D7">
        <v>0.4</v>
      </c>
      <c r="E7" s="3">
        <f t="shared" si="0"/>
        <v>2.2860045720091437E-2</v>
      </c>
      <c r="F7" s="3">
        <f t="shared" si="0"/>
        <v>1.016002032004064E-2</v>
      </c>
      <c r="G7" s="4">
        <f>G$2/(2*(E7))/1000000000</f>
        <v>6.5571272619222229</v>
      </c>
      <c r="I7" s="4">
        <f>G7/0.75</f>
        <v>8.7428363492296306</v>
      </c>
      <c r="N7" s="6">
        <f>G2/250000000000</f>
        <v>1.1991698320000001E-3</v>
      </c>
      <c r="O7" s="6"/>
    </row>
    <row r="8" spans="1:16">
      <c r="C8">
        <v>1.1220000000000001</v>
      </c>
      <c r="D8">
        <v>0.497</v>
      </c>
      <c r="E8" s="3">
        <f t="shared" si="0"/>
        <v>2.8498856997713998E-2</v>
      </c>
      <c r="F8" s="3">
        <f t="shared" si="0"/>
        <v>1.2623825247650494E-2</v>
      </c>
      <c r="G8" s="4">
        <f>G$2/(2*(E8))/1000000000</f>
        <v>5.2597277502049904</v>
      </c>
      <c r="I8" s="4">
        <f t="shared" ref="I8:I9" si="1">G8/0.75</f>
        <v>7.0129703336066536</v>
      </c>
    </row>
    <row r="9" spans="1:16">
      <c r="C9">
        <v>0.622</v>
      </c>
      <c r="D9">
        <v>0.311</v>
      </c>
      <c r="E9" s="3">
        <f t="shared" si="0"/>
        <v>1.5798831597663196E-2</v>
      </c>
      <c r="F9" s="3">
        <f t="shared" si="0"/>
        <v>7.899415798831598E-3</v>
      </c>
      <c r="G9" s="4">
        <f>G$2/(2*(E9))/1000000000</f>
        <v>9.487804719823151</v>
      </c>
      <c r="I9" s="4">
        <f t="shared" si="1"/>
        <v>12.650406293097534</v>
      </c>
    </row>
    <row r="10" spans="1:16">
      <c r="C10" s="9">
        <v>0.875</v>
      </c>
      <c r="D10" s="9">
        <v>0.375</v>
      </c>
      <c r="E10" s="10">
        <f t="shared" si="0"/>
        <v>2.22250444500889E-2</v>
      </c>
      <c r="F10" s="10">
        <f t="shared" si="0"/>
        <v>9.5250190500380996E-3</v>
      </c>
      <c r="G10" s="11">
        <f>G$2/(2*(E10))/1000000000</f>
        <v>6.7444737551199996</v>
      </c>
      <c r="I10" s="4">
        <f t="shared" ref="I10" si="2">G10/0.75</f>
        <v>8.9926316734933334</v>
      </c>
      <c r="K10" t="s">
        <v>31</v>
      </c>
    </row>
    <row r="12" spans="1:16">
      <c r="A12" t="s">
        <v>2</v>
      </c>
      <c r="B12" t="s">
        <v>27</v>
      </c>
      <c r="C12" t="s">
        <v>9</v>
      </c>
    </row>
    <row r="13" spans="1:16">
      <c r="B13" t="s">
        <v>3</v>
      </c>
      <c r="C13" t="s">
        <v>3</v>
      </c>
      <c r="D13" t="s">
        <v>11</v>
      </c>
      <c r="E13">
        <v>1.841</v>
      </c>
      <c r="P13">
        <v>0.93300000000000005</v>
      </c>
    </row>
    <row r="14" spans="1:16">
      <c r="B14" t="s">
        <v>13</v>
      </c>
      <c r="C14" t="s">
        <v>10</v>
      </c>
      <c r="N14" s="2">
        <f>P13/N5</f>
        <v>129.06720955601892</v>
      </c>
      <c r="O14" s="2"/>
    </row>
    <row r="15" spans="1:16">
      <c r="C15">
        <v>0.5</v>
      </c>
      <c r="E15" s="2"/>
      <c r="G15" s="2">
        <f>(E$13*G$2)/((2*3.14)*(C15/100)*(2.08^0.5))/1000000000</f>
        <v>12.18745922967579</v>
      </c>
      <c r="I15" t="s">
        <v>12</v>
      </c>
    </row>
    <row r="16" spans="1:16">
      <c r="B16">
        <v>0.375</v>
      </c>
      <c r="C16" s="4">
        <f>B16/0.3937</f>
        <v>0.95250190500381005</v>
      </c>
      <c r="G16" s="2">
        <f>(E$13*G$2)/((2*3.14)*(C16/100))/1000000000</f>
        <v>9.2267551255022742</v>
      </c>
      <c r="I16" s="2">
        <f>G16/0.75</f>
        <v>12.302340167336366</v>
      </c>
    </row>
    <row r="17" spans="2:17">
      <c r="B17">
        <v>0.5</v>
      </c>
      <c r="C17" s="4">
        <f>B17/0.3937</f>
        <v>1.2700025400050801</v>
      </c>
      <c r="G17" s="2">
        <f>(E$13*G$2)/((2*3.14)*(C17/100))/1000000000</f>
        <v>6.9200663441267061</v>
      </c>
      <c r="I17" s="2">
        <f>G17/0.75</f>
        <v>9.2267551255022742</v>
      </c>
      <c r="K17" s="2">
        <f>I16</f>
        <v>12.302340167336366</v>
      </c>
    </row>
    <row r="18" spans="2:17">
      <c r="B18">
        <v>0.75</v>
      </c>
      <c r="C18" s="4">
        <f t="shared" ref="C18:C23" si="3">B18/0.3937</f>
        <v>1.9050038100076201</v>
      </c>
      <c r="G18" s="2">
        <f t="shared" ref="G18:G23" si="4">(E$13*G$2)/((2*3.14)*(C18/100))/1000000000</f>
        <v>4.6133775627511371</v>
      </c>
      <c r="I18" s="2">
        <f t="shared" ref="I18:I23" si="5">G18/0.75</f>
        <v>6.1511700836681831</v>
      </c>
      <c r="K18" s="2">
        <f t="shared" ref="K18:K22" si="6">I17</f>
        <v>9.2267551255022742</v>
      </c>
      <c r="M18" s="8" t="s">
        <v>30</v>
      </c>
    </row>
    <row r="19" spans="2:17">
      <c r="B19">
        <v>1</v>
      </c>
      <c r="C19" s="4">
        <f t="shared" si="3"/>
        <v>2.5400050800101601</v>
      </c>
      <c r="G19" s="2">
        <f t="shared" si="4"/>
        <v>3.460033172063353</v>
      </c>
      <c r="I19" s="2">
        <f t="shared" si="5"/>
        <v>4.6133775627511371</v>
      </c>
      <c r="K19" s="2">
        <f t="shared" si="6"/>
        <v>6.1511700836681831</v>
      </c>
    </row>
    <row r="20" spans="2:17">
      <c r="B20">
        <v>1.25</v>
      </c>
      <c r="C20" s="4">
        <f t="shared" si="3"/>
        <v>3.1750063500126999</v>
      </c>
      <c r="G20" s="2">
        <f t="shared" si="4"/>
        <v>2.7680265376506825</v>
      </c>
      <c r="I20" s="2">
        <f t="shared" si="5"/>
        <v>3.69070205020091</v>
      </c>
      <c r="K20" s="2">
        <f t="shared" si="6"/>
        <v>4.6133775627511371</v>
      </c>
      <c r="N20" t="s">
        <v>19</v>
      </c>
      <c r="P20" t="s">
        <v>24</v>
      </c>
    </row>
    <row r="21" spans="2:17">
      <c r="B21">
        <v>1.5</v>
      </c>
      <c r="C21" s="4">
        <f t="shared" si="3"/>
        <v>3.8100076200152402</v>
      </c>
      <c r="G21" s="2">
        <f t="shared" si="4"/>
        <v>2.3066887813755685</v>
      </c>
      <c r="I21" s="2">
        <f t="shared" si="5"/>
        <v>3.0755850418340915</v>
      </c>
      <c r="K21" s="2">
        <f t="shared" si="6"/>
        <v>3.69070205020091</v>
      </c>
      <c r="N21" t="s">
        <v>20</v>
      </c>
      <c r="O21" s="5">
        <f>O5</f>
        <v>9.5904550921763112E-3</v>
      </c>
      <c r="P21" s="2">
        <f>O21*1000*0.03937</f>
        <v>0.37757621697898142</v>
      </c>
      <c r="Q21" s="2"/>
    </row>
    <row r="22" spans="2:17">
      <c r="B22">
        <v>2</v>
      </c>
      <c r="C22" s="4">
        <f t="shared" si="3"/>
        <v>5.0800101600203202</v>
      </c>
      <c r="G22" s="2">
        <f t="shared" si="4"/>
        <v>1.7300165860316765</v>
      </c>
      <c r="I22" s="2">
        <f t="shared" si="5"/>
        <v>2.3066887813755685</v>
      </c>
      <c r="K22" s="2">
        <f t="shared" si="6"/>
        <v>3.0755850418340915</v>
      </c>
      <c r="N22" t="s">
        <v>20</v>
      </c>
      <c r="O22" s="5">
        <f>O21</f>
        <v>9.5904550921763112E-3</v>
      </c>
      <c r="P22" s="2">
        <f t="shared" ref="P22:P29" si="7">O22*1000*0.03937+P21</f>
        <v>0.75515243395796283</v>
      </c>
      <c r="Q22" s="2"/>
    </row>
    <row r="23" spans="2:17">
      <c r="B23">
        <v>3</v>
      </c>
      <c r="C23" s="4">
        <f t="shared" si="3"/>
        <v>7.6200152400304804</v>
      </c>
      <c r="G23" s="2">
        <f t="shared" si="4"/>
        <v>1.1533443906877843</v>
      </c>
      <c r="I23" s="2">
        <f t="shared" si="5"/>
        <v>1.5377925209170458</v>
      </c>
      <c r="K23" s="2">
        <f>I22</f>
        <v>2.3066887813755685</v>
      </c>
      <c r="N23" t="s">
        <v>21</v>
      </c>
      <c r="O23" s="5">
        <f>3*O$22</f>
        <v>2.8771365276528932E-2</v>
      </c>
      <c r="P23" s="2">
        <f t="shared" si="7"/>
        <v>1.8878810848949068</v>
      </c>
    </row>
    <row r="24" spans="2:17">
      <c r="N24" t="s">
        <v>20</v>
      </c>
      <c r="O24" s="5">
        <f>O$21</f>
        <v>9.5904550921763112E-3</v>
      </c>
      <c r="P24" s="2">
        <f t="shared" si="7"/>
        <v>2.2654573018738882</v>
      </c>
    </row>
    <row r="25" spans="2:17">
      <c r="N25" t="s">
        <v>25</v>
      </c>
      <c r="O25" s="5">
        <f>0.02/0.03937/1000</f>
        <v>5.0800101600203195E-4</v>
      </c>
      <c r="P25" s="2">
        <f t="shared" si="7"/>
        <v>2.2854573018738882</v>
      </c>
    </row>
    <row r="26" spans="2:17">
      <c r="N26" t="s">
        <v>22</v>
      </c>
      <c r="O26" s="5">
        <f>O$24/M$32</f>
        <v>1.870806888291628E-2</v>
      </c>
      <c r="P26" s="2">
        <f>O26*1000*0.03937+P25</f>
        <v>3.0219939737943022</v>
      </c>
    </row>
    <row r="27" spans="2:17">
      <c r="N27" t="s">
        <v>25</v>
      </c>
      <c r="O27" s="5">
        <f>0.02/0.03937/1000</f>
        <v>5.0800101600203195E-4</v>
      </c>
      <c r="P27" s="2">
        <f>O27*1000*0.03937+P26</f>
        <v>3.0419939737943023</v>
      </c>
    </row>
    <row r="28" spans="2:17">
      <c r="N28" t="s">
        <v>23</v>
      </c>
      <c r="O28" s="5">
        <f>O24/M31</f>
        <v>1.829690253384119E-2</v>
      </c>
      <c r="P28" s="2">
        <f>O28*1000*0.03937+P27</f>
        <v>3.7623430265516298</v>
      </c>
    </row>
    <row r="29" spans="2:17">
      <c r="N29" t="s">
        <v>25</v>
      </c>
      <c r="O29" s="5">
        <f>0.02/0.03937/1000</f>
        <v>5.0800101600203195E-4</v>
      </c>
      <c r="P29" s="2">
        <f t="shared" si="7"/>
        <v>3.7823430265516298</v>
      </c>
    </row>
    <row r="30" spans="2:17">
      <c r="N30" t="s">
        <v>22</v>
      </c>
      <c r="O30" s="5">
        <f>O$24/M$32</f>
        <v>1.870806888291628E-2</v>
      </c>
      <c r="P30" s="2">
        <f>O30*1000*0.03937+P29</f>
        <v>4.5188796984720438</v>
      </c>
    </row>
    <row r="31" spans="2:17">
      <c r="K31">
        <v>1.78</v>
      </c>
      <c r="L31">
        <f>1.78/0.933</f>
        <v>1.907824222936763</v>
      </c>
      <c r="M31">
        <f>1/L31</f>
        <v>0.52415730337078659</v>
      </c>
      <c r="N31" t="s">
        <v>20</v>
      </c>
      <c r="O31" s="5">
        <f>O$21</f>
        <v>9.5904550921763112E-3</v>
      </c>
      <c r="P31" s="2">
        <f t="shared" ref="P31:P34" si="8">O31*1000*0.03937+P30</f>
        <v>4.8964559154510257</v>
      </c>
    </row>
    <row r="32" spans="2:17">
      <c r="K32">
        <v>1.82</v>
      </c>
      <c r="L32">
        <f>1.82/0.933</f>
        <v>1.9506966773847803</v>
      </c>
      <c r="M32">
        <f>1/L32</f>
        <v>0.51263736263736259</v>
      </c>
      <c r="N32" t="s">
        <v>21</v>
      </c>
      <c r="O32" s="5">
        <f>3*O$22</f>
        <v>2.8771365276528932E-2</v>
      </c>
      <c r="P32" s="2">
        <f t="shared" si="8"/>
        <v>6.0291845663879702</v>
      </c>
    </row>
    <row r="33" spans="11:16">
      <c r="K33">
        <f>K32+K31</f>
        <v>3.6</v>
      </c>
      <c r="N33" t="s">
        <v>20</v>
      </c>
      <c r="O33" s="5">
        <f>O$21</f>
        <v>9.5904550921763112E-3</v>
      </c>
      <c r="P33" s="2">
        <f t="shared" si="8"/>
        <v>6.406760783366952</v>
      </c>
    </row>
    <row r="34" spans="11:16">
      <c r="K34" s="5"/>
      <c r="N34" t="s">
        <v>20</v>
      </c>
      <c r="O34" s="5">
        <f>O$21</f>
        <v>9.5904550921763112E-3</v>
      </c>
      <c r="P34" s="2">
        <f t="shared" si="8"/>
        <v>6.7843370003459338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Stricklin</dc:creator>
  <cp:lastModifiedBy>Bob Stricklin</cp:lastModifiedBy>
  <dcterms:created xsi:type="dcterms:W3CDTF">2016-09-07T16:39:51Z</dcterms:created>
  <dcterms:modified xsi:type="dcterms:W3CDTF">2019-09-18T19:29:56Z</dcterms:modified>
</cp:coreProperties>
</file>